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685"/>
  </bookViews>
  <sheets>
    <sheet name="додаток 5" sheetId="1" r:id="rId1"/>
  </sheets>
  <definedNames>
    <definedName name="_xlnm.Print_Titles" localSheetId="0">'додаток 5'!$4:$9</definedName>
    <definedName name="_xlnm.Print_Area" localSheetId="0">'додаток 5'!$A$1:$AT$42</definedName>
  </definedNames>
  <calcPr calcId="144525" fullCalcOnLoad="1"/>
</workbook>
</file>

<file path=xl/calcChain.xml><?xml version="1.0" encoding="utf-8"?>
<calcChain xmlns="http://schemas.openxmlformats.org/spreadsheetml/2006/main">
  <c r="AO25" i="1" l="1"/>
  <c r="AO33" i="1" s="1"/>
  <c r="AF32" i="1"/>
  <c r="AC14" i="1"/>
  <c r="AC20" i="1"/>
  <c r="AC22" i="1"/>
  <c r="T23" i="1"/>
  <c r="T22" i="1"/>
  <c r="T20" i="1"/>
  <c r="Y20" i="1" s="1"/>
  <c r="AD20" i="1" s="1"/>
  <c r="N29" i="1"/>
  <c r="AS23" i="1"/>
  <c r="K31" i="1"/>
  <c r="K33" i="1" s="1"/>
  <c r="J29" i="1"/>
  <c r="J33" i="1" s="1"/>
  <c r="N33" i="1"/>
  <c r="X33" i="1"/>
  <c r="Y30" i="1"/>
  <c r="Y29" i="1"/>
  <c r="AD29" i="1" s="1"/>
  <c r="Y25" i="1"/>
  <c r="AD25" i="1" s="1"/>
  <c r="Y24" i="1"/>
  <c r="Y23" i="1"/>
  <c r="Y22" i="1"/>
  <c r="AD22" i="1" s="1"/>
  <c r="Y21" i="1"/>
  <c r="AD21" i="1" s="1"/>
  <c r="Y19" i="1"/>
  <c r="Y18" i="1"/>
  <c r="Y17" i="1"/>
  <c r="Y16" i="1"/>
  <c r="Y15" i="1"/>
  <c r="Y14" i="1"/>
  <c r="AD14" i="1" s="1"/>
  <c r="Y13" i="1"/>
  <c r="AD13" i="1" s="1"/>
  <c r="AR33" i="1"/>
  <c r="AQ33" i="1"/>
  <c r="V33" i="1"/>
  <c r="W33" i="1"/>
  <c r="R31" i="1"/>
  <c r="S31" i="1"/>
  <c r="O31" i="1"/>
  <c r="G31" i="1"/>
  <c r="Y31" i="1" s="1"/>
  <c r="AD31" i="1" s="1"/>
  <c r="D31" i="1"/>
  <c r="AB29" i="1"/>
  <c r="AP31" i="1"/>
  <c r="AP33" i="1" s="1"/>
  <c r="AS19" i="1"/>
  <c r="AS11" i="1"/>
  <c r="AT11" i="1" s="1"/>
  <c r="AC12" i="1"/>
  <c r="T26" i="1"/>
  <c r="Y26" i="1" s="1"/>
  <c r="AD26" i="1" s="1"/>
  <c r="T27" i="1"/>
  <c r="T10" i="1"/>
  <c r="T33" i="1" s="1"/>
  <c r="AS26" i="1"/>
  <c r="AS24" i="1"/>
  <c r="AS10" i="1"/>
  <c r="AT10" i="1" s="1"/>
  <c r="AS22" i="1"/>
  <c r="AS14" i="1"/>
  <c r="N28" i="1"/>
  <c r="T28" i="1"/>
  <c r="Y28" i="1" s="1"/>
  <c r="AD28" i="1" s="1"/>
  <c r="R33" i="1"/>
  <c r="T21" i="1"/>
  <c r="T13" i="1"/>
  <c r="T12" i="1"/>
  <c r="Y12" i="1" s="1"/>
  <c r="AD12" i="1" s="1"/>
  <c r="N27" i="1"/>
  <c r="Y27" i="1" s="1"/>
  <c r="AD27" i="1" s="1"/>
  <c r="AC28" i="1"/>
  <c r="Q33" i="1"/>
  <c r="S33" i="1"/>
  <c r="AC23" i="1"/>
  <c r="AD23" i="1" s="1"/>
  <c r="F31" i="1"/>
  <c r="AC19" i="1"/>
  <c r="AD19" i="1" s="1"/>
  <c r="AJ12" i="1"/>
  <c r="AK12" i="1"/>
  <c r="AS12" i="1"/>
  <c r="AT12" i="1"/>
  <c r="AM33" i="1"/>
  <c r="P33" i="1"/>
  <c r="AS21" i="1"/>
  <c r="AT31" i="1"/>
  <c r="AF33" i="1"/>
  <c r="AS16" i="1"/>
  <c r="AS13" i="1"/>
  <c r="AT13" i="1"/>
  <c r="U31" i="1"/>
  <c r="AC10" i="1"/>
  <c r="AC11" i="1"/>
  <c r="T11" i="1"/>
  <c r="Y11" i="1" s="1"/>
  <c r="AD11" i="1" s="1"/>
  <c r="O33" i="1"/>
  <c r="AK24" i="1"/>
  <c r="AT24" i="1" s="1"/>
  <c r="AK21" i="1"/>
  <c r="AT21" i="1" s="1"/>
  <c r="AK19" i="1"/>
  <c r="AT19" i="1" s="1"/>
  <c r="AK18" i="1"/>
  <c r="AK15" i="1"/>
  <c r="AK33" i="1" s="1"/>
  <c r="AK14" i="1"/>
  <c r="AL33" i="1"/>
  <c r="D33" i="1"/>
  <c r="E33" i="1"/>
  <c r="F33" i="1"/>
  <c r="G33" i="1"/>
  <c r="H31" i="1"/>
  <c r="H33" i="1" s="1"/>
  <c r="I33" i="1"/>
  <c r="L33" i="1"/>
  <c r="M33" i="1"/>
  <c r="U33" i="1"/>
  <c r="AD30" i="1"/>
  <c r="AB33" i="1"/>
  <c r="AC26" i="1"/>
  <c r="AC33" i="1"/>
  <c r="AD15" i="1"/>
  <c r="AD16" i="1"/>
  <c r="AD17" i="1"/>
  <c r="AD18" i="1"/>
  <c r="AD24" i="1"/>
  <c r="C33" i="1"/>
  <c r="AG33" i="1"/>
  <c r="AH33" i="1"/>
  <c r="AI33" i="1"/>
  <c r="AJ33" i="1"/>
  <c r="AN33" i="1"/>
  <c r="AS17" i="1"/>
  <c r="AS33" i="1"/>
  <c r="AT17" i="1"/>
  <c r="AT18" i="1"/>
  <c r="AT16" i="1"/>
  <c r="AT20" i="1"/>
  <c r="AT22" i="1"/>
  <c r="AT23" i="1"/>
  <c r="AT25" i="1"/>
  <c r="AT26" i="1"/>
  <c r="AT27" i="1"/>
  <c r="AT28" i="1"/>
  <c r="AT29" i="1"/>
  <c r="AT30" i="1"/>
  <c r="AE33" i="1"/>
  <c r="AT32" i="1"/>
  <c r="AT14" i="1"/>
  <c r="AT33" i="1" l="1"/>
  <c r="Y33" i="1"/>
  <c r="AT15" i="1"/>
  <c r="Y10" i="1"/>
  <c r="AD10" i="1" s="1"/>
  <c r="AD33" i="1" s="1"/>
</calcChain>
</file>

<file path=xl/sharedStrings.xml><?xml version="1.0" encoding="utf-8"?>
<sst xmlns="http://schemas.openxmlformats.org/spreadsheetml/2006/main" count="117" uniqueCount="77">
  <si>
    <t>Міжбюджетні трансферти на 2019 рік</t>
  </si>
  <si>
    <t>(грн)</t>
  </si>
  <si>
    <t xml:space="preserve">Код </t>
  </si>
  <si>
    <t>Найменування бюджету - одержувача/надавача міжбюджетного трансфертів</t>
  </si>
  <si>
    <t>Трансферти з інших місцевих бюджетів</t>
  </si>
  <si>
    <t>субвенції</t>
  </si>
  <si>
    <t>загального фонду на:</t>
  </si>
  <si>
    <t>спеціального фонду на:</t>
  </si>
  <si>
    <t>Х</t>
  </si>
  <si>
    <t>УСЬОГО</t>
  </si>
  <si>
    <t>1 - Проект Закону України про Державний бюджет України на 2019 рік від 15 вересня 2018 року №9000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</si>
  <si>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</si>
  <si>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</si>
  <si>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</si>
  <si>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</si>
  <si>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</si>
  <si>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</si>
  <si>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</si>
  <si>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</si>
  <si>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</si>
  <si>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</si>
  <si>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</si>
  <si>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</si>
  <si>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</si>
  <si>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</si>
  <si>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</si>
  <si>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</si>
  <si>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</si>
  <si>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</si>
  <si>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</si>
  <si>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</si>
  <si>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</si>
  <si>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</si>
  <si>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Дотація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</si>
  <si>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</si>
  <si>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</si>
  <si>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оплату захищених статей бюджету</t>
  </si>
  <si>
    <t>Інші субвенції з місцевого бюджету для утримання дошкільних навчальних закладів у 2019 році</t>
  </si>
  <si>
    <t>Інші субвенції з місцевого бюджету для утримання  закладів культури у 2019 році</t>
  </si>
  <si>
    <t>Інша субвенція</t>
  </si>
  <si>
    <t>2 - Закон України від 28 лютого 1991 року № 796-XII "Про статус і соціальний захист громадян, які постраждали внаслідок Чорнобильської катастрофи"; постанова Кабінету Міністрів України від 17 серпня 1998 року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</t>
  </si>
  <si>
    <t>Реверсна дотація</t>
  </si>
  <si>
    <t>найменування трансферту*</t>
  </si>
  <si>
    <r>
      <t xml:space="preserve"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(9130)</t>
    </r>
  </si>
  <si>
    <r>
      <t xml:space="preserve"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(9220)</t>
    </r>
  </si>
  <si>
    <r>
  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(9230)</t>
    </r>
  </si>
  <si>
    <r>
  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(9250)</t>
    </r>
  </si>
  <si>
    <r>
      <t>надання державної підтримки особам з особливими освітніми потребами за рахунок відповідної субвенції з державного бюджету (видатки споживання)</t>
    </r>
    <r>
      <rPr>
        <vertAlign val="superscript"/>
        <sz val="13"/>
        <rFont val="Times New Roman Cyr"/>
        <charset val="204"/>
      </rPr>
      <t xml:space="preserve"> 1</t>
    </r>
    <r>
      <rPr>
        <sz val="13"/>
        <rFont val="Times New Roman Cyr"/>
        <charset val="204"/>
      </rPr>
      <t xml:space="preserve"> (9330)</t>
    </r>
  </si>
  <si>
    <r>
      <t xml:space="preserve"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(9410)</t>
    </r>
  </si>
  <si>
    <r>
      <t xml:space="preserve">відшкодування вартості лікарських засобів для лікування окремих захворювань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(9460)</t>
    </r>
  </si>
  <si>
    <r>
      <t xml:space="preserve"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</t>
    </r>
    <r>
      <rPr>
        <vertAlign val="superscript"/>
        <sz val="13"/>
        <rFont val="Times New Roman Cyr"/>
        <charset val="204"/>
      </rPr>
      <t>3</t>
    </r>
    <r>
      <rPr>
        <sz val="13"/>
        <rFont val="Times New Roman Cyr"/>
        <charset val="204"/>
      </rPr>
      <t xml:space="preserve"> (9770)</t>
    </r>
  </si>
  <si>
    <t>Дотація на:</t>
  </si>
  <si>
    <t>Субвенція з місцевого бюджету на здійснення переданих видатків у сфері освіти за рахунок коштів освітньої субвенції</t>
  </si>
  <si>
    <r>
  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</r>
    <r>
      <rPr>
        <vertAlign val="superscript"/>
        <sz val="12"/>
        <rFont val="Times New Roman Cyr"/>
        <charset val="204"/>
      </rPr>
      <t>1</t>
    </r>
    <r>
      <rPr>
        <sz val="12"/>
        <rFont val="Times New Roman Cyr"/>
        <charset val="204"/>
      </rPr>
      <t xml:space="preserve"> (9210)</t>
    </r>
  </si>
  <si>
    <t>Трансферти іншим бюджетам</t>
  </si>
  <si>
    <r>
      <t>Субвенція 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</si>
  <si>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r>
      <t>Субвенціяна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</si>
  <si>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t>Інша субвенція з місцевого бюджету</t>
  </si>
  <si>
    <t>Субвенція на соціального економічний розвиток окремих регіонів за рахунок субвенції з державного бюджету</t>
  </si>
  <si>
    <t>Державний бюджет</t>
  </si>
  <si>
    <t>Субвенція з місцевого бюджету на забезпечення якісної, сучасної та доступної загальної середньої освіти «Нова українська школа»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</si>
  <si>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</si>
  <si>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</si>
  <si>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</si>
  <si>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Голова ради 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</si>
  <si>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</si>
  <si>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</si>
  <si>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співфінансування інвестиційних проектів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</si>
  <si>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</si>
  <si>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</si>
  <si>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</si>
  <si>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</si>
  <si>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</si>
  <si>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</si>
  <si>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</si>
  <si>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С.М. Гришко</t>
  </si>
  <si>
    <t xml:space="preserve">Додаток 5
до рішення сесії Броварської районної ради 
від 18 грудня 2018 року  № 686-51 позач.-VІІ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редакції сесії райради від 19.12.2019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878-66 позач.-VІІ)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</si>
</sst>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22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b/>
      <sz val="10"/>
      <name val="Times New Roman Cyr"/>
      <family val="1"/>
      <charset val="204"/>
    </font>
    <font>
      <sz val="10"/>
      <name val="Calibri"/>
      <family val="2"/>
      <charset val="204"/>
    </font>
    <font>
      <b/>
      <sz val="16"/>
      <name val="Times New Roman Cyr"/>
      <charset val="204"/>
    </font>
    <font>
      <b/>
      <sz val="24"/>
      <name val="Times New Roman Cyr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3"/>
      <name val="Times New Roman Cyr"/>
      <charset val="204"/>
    </font>
    <font>
      <vertAlign val="superscript"/>
      <sz val="13"/>
      <name val="Times New Roman Cyr"/>
      <charset val="204"/>
    </font>
    <font>
      <sz val="12"/>
      <name val="Times New Roman Cyr"/>
      <charset val="204"/>
    </font>
    <font>
      <vertAlign val="superscript"/>
      <sz val="12"/>
      <name val="Times New Roman Cyr"/>
      <charset val="204"/>
    </font>
    <font>
      <sz val="10"/>
      <name val="Times New Roman Cyr"/>
      <charset val="204"/>
    </font>
    <font>
      <b/>
      <sz val="13"/>
      <name val="Times New Roman Cyr"/>
      <charset val="204"/>
    </font>
    <font>
      <b/>
      <u/>
      <sz val="24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172" fontId="1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/>
    <xf numFmtId="172" fontId="6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</cellXfs>
  <cellStyles count="2">
    <cellStyle name="Звичайний 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T86"/>
  <sheetViews>
    <sheetView tabSelected="1" view="pageBreakPreview" topLeftCell="AI1" zoomScale="82" zoomScaleNormal="65" zoomScaleSheetLayoutView="82" workbookViewId="0">
      <selection activeCell="W8" sqref="W8"/>
    </sheetView>
  </sheetViews>
  <sheetFormatPr defaultColWidth="16" defaultRowHeight="12.75" x14ac:dyDescent="0.2"/>
  <cols>
    <col min="1" max="1" width="12.28515625" style="1" bestFit="1" customWidth="1"/>
    <col min="2" max="2" width="36" style="1" customWidth="1"/>
    <col min="3" max="3" width="19.5703125" style="1" customWidth="1"/>
    <col min="4" max="4" width="32" style="1" customWidth="1"/>
    <col min="5" max="5" width="17" style="1" customWidth="1"/>
    <col min="6" max="6" width="34.140625" style="1" customWidth="1"/>
    <col min="7" max="7" width="31.140625" style="1" customWidth="1"/>
    <col min="8" max="9" width="18.28515625" style="1" customWidth="1"/>
    <col min="10" max="10" width="18.5703125" style="1" customWidth="1"/>
    <col min="11" max="11" width="16.140625" style="1" customWidth="1"/>
    <col min="12" max="12" width="15.85546875" style="1" customWidth="1"/>
    <col min="13" max="13" width="17.7109375" style="1" customWidth="1"/>
    <col min="14" max="14" width="18.85546875" style="1" customWidth="1"/>
    <col min="15" max="15" width="18" style="1" customWidth="1"/>
    <col min="16" max="18" width="17.140625" style="1" customWidth="1"/>
    <col min="19" max="19" width="44.42578125" style="1" customWidth="1"/>
    <col min="20" max="20" width="17.5703125" style="1" customWidth="1"/>
    <col min="21" max="24" width="17.7109375" style="1" customWidth="1"/>
    <col min="25" max="25" width="19" style="1" customWidth="1"/>
    <col min="26" max="26" width="12.28515625" style="1" bestFit="1" customWidth="1"/>
    <col min="27" max="27" width="36" style="1" customWidth="1"/>
    <col min="28" max="28" width="19" style="1" customWidth="1"/>
    <col min="29" max="29" width="17.140625" style="1" customWidth="1"/>
    <col min="30" max="30" width="22.28515625" style="1" customWidth="1"/>
    <col min="31" max="31" width="14.85546875" style="1" customWidth="1"/>
    <col min="32" max="32" width="17.85546875" style="1" customWidth="1"/>
    <col min="33" max="33" width="17.42578125" style="1" customWidth="1"/>
    <col min="34" max="34" width="19.28515625" style="1" customWidth="1"/>
    <col min="35" max="35" width="17.42578125" style="1" customWidth="1"/>
    <col min="36" max="38" width="16" style="1"/>
    <col min="39" max="39" width="18.5703125" style="1" customWidth="1"/>
    <col min="40" max="40" width="17.7109375" style="1" customWidth="1"/>
    <col min="41" max="41" width="14" style="1" customWidth="1"/>
    <col min="42" max="44" width="17.140625" style="1" customWidth="1"/>
    <col min="45" max="45" width="19.140625" style="1" customWidth="1"/>
    <col min="46" max="46" width="18.85546875" style="1" customWidth="1"/>
    <col min="47" max="16384" width="16" style="1"/>
  </cols>
  <sheetData>
    <row r="1" spans="1:46" ht="78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34"/>
      <c r="W1" s="57" t="s">
        <v>76</v>
      </c>
      <c r="X1" s="57"/>
      <c r="Y1" s="57"/>
      <c r="Z1" s="28"/>
      <c r="AA1" s="28"/>
      <c r="AB1" s="34"/>
      <c r="AC1" s="35"/>
      <c r="AD1" s="35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39"/>
      <c r="AP1" s="39"/>
      <c r="AQ1" s="39"/>
      <c r="AR1" s="39"/>
      <c r="AS1" s="39"/>
      <c r="AT1" s="39"/>
    </row>
    <row r="2" spans="1:46" ht="39.75" customHeight="1" x14ac:dyDescent="0.2">
      <c r="A2" s="36"/>
      <c r="B2" s="36"/>
      <c r="Z2" s="31"/>
      <c r="AA2" s="31"/>
      <c r="AC2" s="35"/>
      <c r="AD2" s="35"/>
      <c r="AE2" s="2"/>
      <c r="AF2" s="2"/>
      <c r="AO2" s="39"/>
      <c r="AP2" s="39"/>
      <c r="AQ2" s="39"/>
      <c r="AR2" s="39"/>
      <c r="AS2" s="39"/>
      <c r="AT2" s="39"/>
    </row>
    <row r="3" spans="1:46" ht="12" customHeight="1" x14ac:dyDescent="0.2">
      <c r="A3" s="29"/>
      <c r="B3" s="29"/>
      <c r="Y3" s="2" t="s">
        <v>1</v>
      </c>
      <c r="Z3" s="29"/>
      <c r="AA3" s="29"/>
      <c r="AE3" s="2"/>
      <c r="AF3" s="2"/>
      <c r="AO3" s="30"/>
      <c r="AP3" s="30"/>
      <c r="AQ3" s="30"/>
      <c r="AR3" s="30"/>
      <c r="AS3" s="30" t="s">
        <v>1</v>
      </c>
      <c r="AT3" s="30"/>
    </row>
    <row r="4" spans="1:46" s="10" customFormat="1" ht="36.75" customHeight="1" x14ac:dyDescent="0.3">
      <c r="A4" s="54" t="s">
        <v>2</v>
      </c>
      <c r="B4" s="54" t="s">
        <v>3</v>
      </c>
      <c r="C4" s="40" t="s">
        <v>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44" t="s">
        <v>2</v>
      </c>
      <c r="AA4" s="44" t="s">
        <v>3</v>
      </c>
      <c r="AB4" s="40" t="s">
        <v>4</v>
      </c>
      <c r="AC4" s="41"/>
      <c r="AD4" s="42"/>
      <c r="AE4" s="44" t="s">
        <v>54</v>
      </c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</row>
    <row r="5" spans="1:46" s="10" customFormat="1" ht="23.25" customHeight="1" x14ac:dyDescent="0.3">
      <c r="A5" s="55"/>
      <c r="B5" s="55"/>
      <c r="C5" s="33" t="s">
        <v>33</v>
      </c>
      <c r="D5" s="40" t="s">
        <v>5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2"/>
      <c r="Z5" s="44"/>
      <c r="AA5" s="44"/>
      <c r="AB5" s="40" t="s">
        <v>5</v>
      </c>
      <c r="AC5" s="42"/>
      <c r="AD5" s="50" t="s">
        <v>9</v>
      </c>
      <c r="AE5" s="44" t="s">
        <v>51</v>
      </c>
      <c r="AF5" s="40" t="s">
        <v>5</v>
      </c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2"/>
      <c r="AT5" s="45" t="s">
        <v>9</v>
      </c>
    </row>
    <row r="6" spans="1:46" s="11" customFormat="1" ht="40.5" customHeight="1" x14ac:dyDescent="0.2">
      <c r="A6" s="55"/>
      <c r="B6" s="55"/>
      <c r="C6" s="33"/>
      <c r="D6" s="40" t="s">
        <v>6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Z6" s="44"/>
      <c r="AA6" s="44"/>
      <c r="AB6" s="40" t="s">
        <v>7</v>
      </c>
      <c r="AC6" s="42"/>
      <c r="AD6" s="51"/>
      <c r="AE6" s="49"/>
      <c r="AF6" s="40" t="s">
        <v>6</v>
      </c>
      <c r="AG6" s="41"/>
      <c r="AH6" s="41"/>
      <c r="AI6" s="41"/>
      <c r="AJ6" s="41"/>
      <c r="AK6" s="41"/>
      <c r="AL6" s="41"/>
      <c r="AM6" s="41"/>
      <c r="AN6" s="41"/>
      <c r="AO6" s="42"/>
      <c r="AP6" s="46" t="s">
        <v>7</v>
      </c>
      <c r="AQ6" s="47"/>
      <c r="AR6" s="47"/>
      <c r="AS6" s="48"/>
      <c r="AT6" s="45"/>
    </row>
    <row r="7" spans="1:46" s="11" customFormat="1" ht="32.25" customHeight="1" x14ac:dyDescent="0.2">
      <c r="A7" s="55"/>
      <c r="B7" s="55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  <c r="Z7" s="44"/>
      <c r="AA7" s="44"/>
      <c r="AB7" s="40"/>
      <c r="AC7" s="42"/>
      <c r="AD7" s="51"/>
      <c r="AE7" s="44" t="s">
        <v>42</v>
      </c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5"/>
    </row>
    <row r="8" spans="1:46" s="21" customFormat="1" ht="409.6" customHeight="1" x14ac:dyDescent="0.2">
      <c r="A8" s="56"/>
      <c r="B8" s="56"/>
      <c r="C8" s="18" t="s">
        <v>43</v>
      </c>
      <c r="D8" s="27" t="s">
        <v>53</v>
      </c>
      <c r="E8" s="18" t="s">
        <v>44</v>
      </c>
      <c r="F8" s="19" t="s">
        <v>45</v>
      </c>
      <c r="G8" s="19" t="s">
        <v>46</v>
      </c>
      <c r="H8" s="19" t="s">
        <v>47</v>
      </c>
      <c r="I8" s="19" t="s">
        <v>60</v>
      </c>
      <c r="J8" s="19" t="s">
        <v>62</v>
      </c>
      <c r="K8" s="19" t="s">
        <v>48</v>
      </c>
      <c r="L8" s="19" t="s">
        <v>49</v>
      </c>
      <c r="M8" s="19" t="s">
        <v>50</v>
      </c>
      <c r="N8" s="20" t="s">
        <v>34</v>
      </c>
      <c r="O8" s="20" t="s">
        <v>66</v>
      </c>
      <c r="P8" s="20" t="s">
        <v>68</v>
      </c>
      <c r="Q8" s="20" t="s">
        <v>70</v>
      </c>
      <c r="R8" s="20" t="s">
        <v>71</v>
      </c>
      <c r="S8" s="20" t="s">
        <v>69</v>
      </c>
      <c r="T8" s="20" t="s">
        <v>35</v>
      </c>
      <c r="U8" s="20" t="s">
        <v>52</v>
      </c>
      <c r="V8" s="20" t="s">
        <v>74</v>
      </c>
      <c r="W8" s="20" t="s">
        <v>72</v>
      </c>
      <c r="X8" s="20" t="s">
        <v>73</v>
      </c>
      <c r="Y8" s="32" t="s">
        <v>9</v>
      </c>
      <c r="Z8" s="44"/>
      <c r="AA8" s="44"/>
      <c r="AB8" s="18" t="s">
        <v>55</v>
      </c>
      <c r="AC8" s="20" t="s">
        <v>35</v>
      </c>
      <c r="AD8" s="52"/>
      <c r="AE8" s="18" t="s">
        <v>36</v>
      </c>
      <c r="AF8" s="18" t="s">
        <v>63</v>
      </c>
      <c r="AG8" s="18" t="s">
        <v>56</v>
      </c>
      <c r="AH8" s="20" t="s">
        <v>37</v>
      </c>
      <c r="AI8" s="20" t="s">
        <v>38</v>
      </c>
      <c r="AJ8" s="20" t="s">
        <v>61</v>
      </c>
      <c r="AK8" s="20" t="s">
        <v>58</v>
      </c>
      <c r="AL8" s="20" t="s">
        <v>65</v>
      </c>
      <c r="AM8" s="20" t="s">
        <v>68</v>
      </c>
      <c r="AN8" s="20" t="s">
        <v>41</v>
      </c>
      <c r="AO8" s="18" t="s">
        <v>39</v>
      </c>
      <c r="AP8" s="20" t="s">
        <v>67</v>
      </c>
      <c r="AQ8" s="20" t="s">
        <v>72</v>
      </c>
      <c r="AR8" s="20" t="s">
        <v>73</v>
      </c>
      <c r="AS8" s="18" t="s">
        <v>57</v>
      </c>
      <c r="AT8" s="45"/>
    </row>
    <row r="9" spans="1:46" s="11" customFormat="1" ht="17.25" customHeight="1" x14ac:dyDescent="0.2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1</v>
      </c>
      <c r="AA9" s="12">
        <v>2</v>
      </c>
      <c r="AB9" s="12">
        <v>23</v>
      </c>
      <c r="AC9" s="12">
        <v>24</v>
      </c>
      <c r="AD9" s="12">
        <v>25</v>
      </c>
      <c r="AE9" s="12">
        <v>26</v>
      </c>
      <c r="AF9" s="12">
        <v>27</v>
      </c>
      <c r="AG9" s="12">
        <v>28</v>
      </c>
      <c r="AH9" s="12">
        <v>29</v>
      </c>
      <c r="AI9" s="12">
        <v>30</v>
      </c>
      <c r="AJ9" s="12">
        <v>31</v>
      </c>
      <c r="AK9" s="12">
        <v>32</v>
      </c>
      <c r="AL9" s="12">
        <v>33</v>
      </c>
      <c r="AM9" s="12">
        <v>34</v>
      </c>
      <c r="AN9" s="12">
        <v>35</v>
      </c>
      <c r="AO9" s="12">
        <v>36</v>
      </c>
      <c r="AP9" s="12">
        <v>37</v>
      </c>
      <c r="AQ9" s="12">
        <v>38</v>
      </c>
      <c r="AR9" s="12">
        <v>39</v>
      </c>
      <c r="AS9" s="12">
        <v>40</v>
      </c>
      <c r="AT9" s="12">
        <v>41</v>
      </c>
    </row>
    <row r="10" spans="1:46" s="10" customFormat="1" ht="18.75" x14ac:dyDescent="0.3">
      <c r="A10" s="13"/>
      <c r="B10" s="14" t="s">
        <v>11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38">
        <f>27000+13300</f>
        <v>40300</v>
      </c>
      <c r="U10" s="23"/>
      <c r="V10" s="23"/>
      <c r="W10" s="23"/>
      <c r="X10" s="23"/>
      <c r="Y10" s="24">
        <f t="shared" ref="Y10:Y30" si="0">SUM(C10:X10)</f>
        <v>40300</v>
      </c>
      <c r="Z10" s="13"/>
      <c r="AA10" s="14" t="s">
        <v>11</v>
      </c>
      <c r="AB10" s="23"/>
      <c r="AC10" s="38">
        <f>500000+40000+537212</f>
        <v>1077212</v>
      </c>
      <c r="AD10" s="24">
        <f>SUM(Y10:AC10)</f>
        <v>1117512</v>
      </c>
      <c r="AE10" s="25"/>
      <c r="AF10" s="25"/>
      <c r="AG10" s="25"/>
      <c r="AH10" s="25">
        <v>3265712</v>
      </c>
      <c r="AI10" s="25"/>
      <c r="AJ10" s="25"/>
      <c r="AK10" s="25"/>
      <c r="AL10" s="25"/>
      <c r="AM10" s="25"/>
      <c r="AN10" s="25"/>
      <c r="AO10" s="22">
        <v>57300</v>
      </c>
      <c r="AP10" s="22"/>
      <c r="AQ10" s="22"/>
      <c r="AR10" s="22">
        <v>993001.29</v>
      </c>
      <c r="AS10" s="22">
        <f>297126+100000+1348367.44</f>
        <v>1745493.44</v>
      </c>
      <c r="AT10" s="22">
        <f>SUM(AE10:AS10)</f>
        <v>6061506.7300000004</v>
      </c>
    </row>
    <row r="11" spans="1:46" s="10" customFormat="1" ht="18.75" x14ac:dyDescent="0.3">
      <c r="A11" s="13"/>
      <c r="B11" s="14" t="s">
        <v>12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38">
        <f>453300-349000</f>
        <v>104300</v>
      </c>
      <c r="U11" s="23"/>
      <c r="V11" s="23"/>
      <c r="W11" s="23"/>
      <c r="X11" s="23"/>
      <c r="Y11" s="24">
        <f t="shared" si="0"/>
        <v>104300</v>
      </c>
      <c r="Z11" s="13"/>
      <c r="AA11" s="14" t="s">
        <v>12</v>
      </c>
      <c r="AB11" s="23"/>
      <c r="AC11" s="38">
        <f>349000</f>
        <v>349000</v>
      </c>
      <c r="AD11" s="24">
        <f t="shared" ref="AD11:AD30" si="1">SUM(Y11:AC11)</f>
        <v>453300</v>
      </c>
      <c r="AE11" s="25"/>
      <c r="AF11" s="25"/>
      <c r="AG11" s="25"/>
      <c r="AH11" s="25">
        <v>4529859</v>
      </c>
      <c r="AI11" s="25"/>
      <c r="AJ11" s="25"/>
      <c r="AK11" s="25"/>
      <c r="AL11" s="25"/>
      <c r="AM11" s="25"/>
      <c r="AN11" s="25"/>
      <c r="AO11" s="22"/>
      <c r="AP11" s="22"/>
      <c r="AQ11" s="22"/>
      <c r="AR11" s="22"/>
      <c r="AS11" s="22">
        <f>158177</f>
        <v>158177</v>
      </c>
      <c r="AT11" s="22">
        <f t="shared" ref="AT11:AT32" si="2">SUM(AE11:AS11)</f>
        <v>4688036</v>
      </c>
    </row>
    <row r="12" spans="1:46" s="10" customFormat="1" ht="18.75" x14ac:dyDescent="0.3">
      <c r="A12" s="13">
        <v>15</v>
      </c>
      <c r="B12" s="14" t="s">
        <v>13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38">
        <f>78300+48040+85500+36000+14500</f>
        <v>262340</v>
      </c>
      <c r="U12" s="23"/>
      <c r="V12" s="23"/>
      <c r="W12" s="23"/>
      <c r="X12" s="23"/>
      <c r="Y12" s="24">
        <f t="shared" si="0"/>
        <v>262340</v>
      </c>
      <c r="Z12" s="13"/>
      <c r="AA12" s="14" t="s">
        <v>13</v>
      </c>
      <c r="AB12" s="23"/>
      <c r="AC12" s="38">
        <f>106500+10000+80200+250000+114200</f>
        <v>560900</v>
      </c>
      <c r="AD12" s="24">
        <f t="shared" si="1"/>
        <v>823240</v>
      </c>
      <c r="AE12" s="25"/>
      <c r="AF12" s="25"/>
      <c r="AG12" s="25"/>
      <c r="AH12" s="25">
        <v>4635204</v>
      </c>
      <c r="AI12" s="25"/>
      <c r="AJ12" s="25">
        <f>81370</f>
        <v>81370</v>
      </c>
      <c r="AK12" s="25">
        <f>79000-21000</f>
        <v>58000</v>
      </c>
      <c r="AL12" s="25">
        <v>21000</v>
      </c>
      <c r="AM12" s="25">
        <v>5548026</v>
      </c>
      <c r="AN12" s="25"/>
      <c r="AO12" s="22"/>
      <c r="AP12" s="22"/>
      <c r="AQ12" s="22">
        <v>153200</v>
      </c>
      <c r="AR12" s="22"/>
      <c r="AS12" s="22">
        <f>500000</f>
        <v>500000</v>
      </c>
      <c r="AT12" s="22">
        <f>SUM(AE12:AS12)</f>
        <v>10996800</v>
      </c>
    </row>
    <row r="13" spans="1:46" s="10" customFormat="1" ht="18.75" x14ac:dyDescent="0.3">
      <c r="A13" s="13"/>
      <c r="B13" s="14" t="s">
        <v>14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8">
        <f>331000+58000+55000</f>
        <v>444000</v>
      </c>
      <c r="U13" s="23"/>
      <c r="V13" s="23"/>
      <c r="W13" s="23"/>
      <c r="X13" s="23"/>
      <c r="Y13" s="24">
        <f t="shared" si="0"/>
        <v>444000</v>
      </c>
      <c r="Z13" s="13"/>
      <c r="AA13" s="14" t="s">
        <v>14</v>
      </c>
      <c r="AB13" s="23"/>
      <c r="AC13" s="23"/>
      <c r="AD13" s="24">
        <f t="shared" si="1"/>
        <v>444000</v>
      </c>
      <c r="AE13" s="25"/>
      <c r="AF13" s="25"/>
      <c r="AG13" s="25"/>
      <c r="AH13" s="25">
        <v>5530641</v>
      </c>
      <c r="AI13" s="25"/>
      <c r="AJ13" s="25"/>
      <c r="AK13" s="25"/>
      <c r="AL13" s="25"/>
      <c r="AM13" s="25"/>
      <c r="AN13" s="25"/>
      <c r="AO13" s="22"/>
      <c r="AP13" s="22"/>
      <c r="AQ13" s="22"/>
      <c r="AR13" s="22"/>
      <c r="AS13" s="22">
        <f>227897+300000</f>
        <v>527897</v>
      </c>
      <c r="AT13" s="22">
        <f t="shared" si="2"/>
        <v>6058538</v>
      </c>
    </row>
    <row r="14" spans="1:46" s="10" customFormat="1" ht="18.75" x14ac:dyDescent="0.3">
      <c r="A14" s="13"/>
      <c r="B14" s="14" t="s">
        <v>15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>
        <f t="shared" si="0"/>
        <v>0</v>
      </c>
      <c r="Z14" s="13"/>
      <c r="AA14" s="14" t="s">
        <v>15</v>
      </c>
      <c r="AB14" s="23"/>
      <c r="AC14" s="38">
        <f>58000</f>
        <v>58000</v>
      </c>
      <c r="AD14" s="24">
        <f t="shared" si="1"/>
        <v>58000</v>
      </c>
      <c r="AE14" s="25"/>
      <c r="AF14" s="25"/>
      <c r="AG14" s="25"/>
      <c r="AH14" s="25">
        <v>4134813</v>
      </c>
      <c r="AI14" s="25"/>
      <c r="AJ14" s="25"/>
      <c r="AK14" s="25">
        <f>470000-124000</f>
        <v>346000</v>
      </c>
      <c r="AL14" s="25">
        <v>124000</v>
      </c>
      <c r="AM14" s="25"/>
      <c r="AN14" s="25"/>
      <c r="AO14" s="22"/>
      <c r="AP14" s="22"/>
      <c r="AQ14" s="22"/>
      <c r="AR14" s="22"/>
      <c r="AS14" s="22">
        <f>356154+297500</f>
        <v>653654</v>
      </c>
      <c r="AT14" s="22">
        <f t="shared" si="2"/>
        <v>5258467</v>
      </c>
    </row>
    <row r="15" spans="1:46" s="10" customFormat="1" ht="18.75" x14ac:dyDescent="0.3">
      <c r="A15" s="13"/>
      <c r="B15" s="14" t="s">
        <v>16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>
        <f t="shared" si="0"/>
        <v>0</v>
      </c>
      <c r="Z15" s="13"/>
      <c r="AA15" s="14" t="s">
        <v>16</v>
      </c>
      <c r="AB15" s="23"/>
      <c r="AC15" s="23"/>
      <c r="AD15" s="24">
        <f t="shared" si="1"/>
        <v>0</v>
      </c>
      <c r="AE15" s="25">
        <v>441600</v>
      </c>
      <c r="AF15" s="25"/>
      <c r="AG15" s="25"/>
      <c r="AH15" s="25"/>
      <c r="AI15" s="25"/>
      <c r="AJ15" s="25"/>
      <c r="AK15" s="25">
        <f>79000-21000</f>
        <v>58000</v>
      </c>
      <c r="AL15" s="25">
        <v>21000</v>
      </c>
      <c r="AM15" s="25"/>
      <c r="AN15" s="25"/>
      <c r="AO15" s="22"/>
      <c r="AP15" s="22"/>
      <c r="AQ15" s="22"/>
      <c r="AR15" s="22"/>
      <c r="AS15" s="22"/>
      <c r="AT15" s="22">
        <f t="shared" si="2"/>
        <v>520600</v>
      </c>
    </row>
    <row r="16" spans="1:46" s="10" customFormat="1" ht="18.75" x14ac:dyDescent="0.3">
      <c r="A16" s="13"/>
      <c r="B16" s="14" t="s">
        <v>17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>
        <f t="shared" si="0"/>
        <v>0</v>
      </c>
      <c r="Z16" s="13"/>
      <c r="AA16" s="14" t="s">
        <v>17</v>
      </c>
      <c r="AB16" s="23"/>
      <c r="AC16" s="23"/>
      <c r="AD16" s="24">
        <f t="shared" si="1"/>
        <v>0</v>
      </c>
      <c r="AE16" s="25"/>
      <c r="AF16" s="25"/>
      <c r="AG16" s="25"/>
      <c r="AH16" s="25">
        <v>2897003</v>
      </c>
      <c r="AI16" s="25"/>
      <c r="AJ16" s="25"/>
      <c r="AK16" s="25"/>
      <c r="AL16" s="25"/>
      <c r="AM16" s="25"/>
      <c r="AN16" s="25"/>
      <c r="AO16" s="22"/>
      <c r="AP16" s="22"/>
      <c r="AQ16" s="22"/>
      <c r="AR16" s="22"/>
      <c r="AS16" s="22">
        <f>174055+299460+82000</f>
        <v>555515</v>
      </c>
      <c r="AT16" s="22">
        <f t="shared" si="2"/>
        <v>3452518</v>
      </c>
    </row>
    <row r="17" spans="1:46" s="10" customFormat="1" ht="18.75" x14ac:dyDescent="0.3">
      <c r="A17" s="13"/>
      <c r="B17" s="14" t="s">
        <v>18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>
        <f t="shared" si="0"/>
        <v>0</v>
      </c>
      <c r="Z17" s="13"/>
      <c r="AA17" s="14" t="s">
        <v>18</v>
      </c>
      <c r="AB17" s="23"/>
      <c r="AC17" s="23"/>
      <c r="AD17" s="24">
        <f t="shared" si="1"/>
        <v>0</v>
      </c>
      <c r="AE17" s="25">
        <v>428400</v>
      </c>
      <c r="AF17" s="25"/>
      <c r="AG17" s="25"/>
      <c r="AH17" s="25"/>
      <c r="AI17" s="25"/>
      <c r="AJ17" s="25"/>
      <c r="AK17" s="25"/>
      <c r="AL17" s="25"/>
      <c r="AM17" s="25"/>
      <c r="AN17" s="25"/>
      <c r="AO17" s="22"/>
      <c r="AP17" s="22"/>
      <c r="AQ17" s="22"/>
      <c r="AR17" s="22"/>
      <c r="AS17" s="22">
        <f>189000</f>
        <v>189000</v>
      </c>
      <c r="AT17" s="22">
        <f t="shared" si="2"/>
        <v>617400</v>
      </c>
    </row>
    <row r="18" spans="1:46" s="10" customFormat="1" ht="18.75" x14ac:dyDescent="0.3">
      <c r="A18" s="13"/>
      <c r="B18" s="14" t="s">
        <v>19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>
        <f t="shared" si="0"/>
        <v>0</v>
      </c>
      <c r="Z18" s="13"/>
      <c r="AA18" s="14" t="s">
        <v>19</v>
      </c>
      <c r="AB18" s="23"/>
      <c r="AC18" s="23"/>
      <c r="AD18" s="24">
        <f t="shared" si="1"/>
        <v>0</v>
      </c>
      <c r="AE18" s="25"/>
      <c r="AF18" s="25"/>
      <c r="AG18" s="25"/>
      <c r="AH18" s="25"/>
      <c r="AI18" s="25"/>
      <c r="AJ18" s="25"/>
      <c r="AK18" s="25">
        <f>79000-21000</f>
        <v>58000</v>
      </c>
      <c r="AL18" s="25">
        <v>21000</v>
      </c>
      <c r="AM18" s="25"/>
      <c r="AN18" s="25"/>
      <c r="AO18" s="22">
        <v>50218</v>
      </c>
      <c r="AP18" s="22"/>
      <c r="AQ18" s="22"/>
      <c r="AR18" s="22"/>
      <c r="AS18" s="22"/>
      <c r="AT18" s="22">
        <f t="shared" si="2"/>
        <v>129218</v>
      </c>
    </row>
    <row r="19" spans="1:46" s="10" customFormat="1" ht="18.75" x14ac:dyDescent="0.3">
      <c r="A19" s="13"/>
      <c r="B19" s="14" t="s">
        <v>20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>
        <f t="shared" si="0"/>
        <v>0</v>
      </c>
      <c r="Z19" s="13"/>
      <c r="AA19" s="14" t="s">
        <v>20</v>
      </c>
      <c r="AB19" s="23"/>
      <c r="AC19" s="38">
        <f>2614095-1304290+700000</f>
        <v>2009805</v>
      </c>
      <c r="AD19" s="24">
        <f t="shared" si="1"/>
        <v>2009805</v>
      </c>
      <c r="AE19" s="25"/>
      <c r="AF19" s="25"/>
      <c r="AG19" s="25"/>
      <c r="AH19" s="25">
        <v>3239376</v>
      </c>
      <c r="AI19" s="25"/>
      <c r="AJ19" s="25"/>
      <c r="AK19" s="25">
        <f>79000-21000</f>
        <v>58000</v>
      </c>
      <c r="AL19" s="25">
        <v>21000</v>
      </c>
      <c r="AM19" s="25"/>
      <c r="AN19" s="25"/>
      <c r="AO19" s="22"/>
      <c r="AP19" s="22"/>
      <c r="AQ19" s="22"/>
      <c r="AR19" s="22"/>
      <c r="AS19" s="22">
        <f>800000</f>
        <v>800000</v>
      </c>
      <c r="AT19" s="22">
        <f t="shared" si="2"/>
        <v>4118376</v>
      </c>
    </row>
    <row r="20" spans="1:46" s="10" customFormat="1" ht="18.75" x14ac:dyDescent="0.3">
      <c r="A20" s="13"/>
      <c r="B20" s="14" t="s">
        <v>21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8">
        <f>111700+10000+50000+252000-11518</f>
        <v>412182</v>
      </c>
      <c r="U20" s="23"/>
      <c r="V20" s="23"/>
      <c r="W20" s="23"/>
      <c r="X20" s="23"/>
      <c r="Y20" s="24">
        <f t="shared" si="0"/>
        <v>412182</v>
      </c>
      <c r="Z20" s="13"/>
      <c r="AA20" s="14" t="s">
        <v>21</v>
      </c>
      <c r="AB20" s="23"/>
      <c r="AC20" s="38">
        <f>925500+540000+307300+11518</f>
        <v>1784318</v>
      </c>
      <c r="AD20" s="24">
        <f t="shared" si="1"/>
        <v>2196500</v>
      </c>
      <c r="AE20" s="25"/>
      <c r="AF20" s="25"/>
      <c r="AG20" s="25"/>
      <c r="AH20" s="25">
        <v>2817994</v>
      </c>
      <c r="AI20" s="25"/>
      <c r="AJ20" s="25"/>
      <c r="AK20" s="25"/>
      <c r="AL20" s="25"/>
      <c r="AM20" s="25"/>
      <c r="AN20" s="25"/>
      <c r="AO20" s="22"/>
      <c r="AP20" s="22"/>
      <c r="AQ20" s="22"/>
      <c r="AR20" s="22"/>
      <c r="AS20" s="22"/>
      <c r="AT20" s="22">
        <f t="shared" si="2"/>
        <v>2817994</v>
      </c>
    </row>
    <row r="21" spans="1:46" s="10" customFormat="1" ht="18.75" x14ac:dyDescent="0.3">
      <c r="A21" s="13"/>
      <c r="B21" s="14" t="s">
        <v>22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38">
        <f>3000</f>
        <v>3000</v>
      </c>
      <c r="U21" s="23"/>
      <c r="V21" s="23"/>
      <c r="W21" s="23"/>
      <c r="X21" s="23"/>
      <c r="Y21" s="24">
        <f t="shared" si="0"/>
        <v>3000</v>
      </c>
      <c r="Z21" s="13"/>
      <c r="AA21" s="14" t="s">
        <v>22</v>
      </c>
      <c r="AB21" s="23"/>
      <c r="AC21" s="23"/>
      <c r="AD21" s="24">
        <f t="shared" si="1"/>
        <v>3000</v>
      </c>
      <c r="AE21" s="25"/>
      <c r="AF21" s="25"/>
      <c r="AG21" s="25"/>
      <c r="AH21" s="25">
        <v>526728</v>
      </c>
      <c r="AI21" s="25"/>
      <c r="AJ21" s="25"/>
      <c r="AK21" s="25">
        <f>79000-21000</f>
        <v>58000</v>
      </c>
      <c r="AL21" s="25">
        <v>21000</v>
      </c>
      <c r="AM21" s="25"/>
      <c r="AN21" s="25"/>
      <c r="AO21" s="22"/>
      <c r="AP21" s="22"/>
      <c r="AQ21" s="22"/>
      <c r="AR21" s="22"/>
      <c r="AS21" s="22">
        <f>847750+1053300+192554</f>
        <v>2093604</v>
      </c>
      <c r="AT21" s="22">
        <f t="shared" si="2"/>
        <v>2699332</v>
      </c>
    </row>
    <row r="22" spans="1:46" s="10" customFormat="1" ht="18.75" x14ac:dyDescent="0.3">
      <c r="A22" s="13"/>
      <c r="B22" s="14" t="s">
        <v>23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38">
        <f>150000+150000+16600+30000-18000</f>
        <v>328600</v>
      </c>
      <c r="U22" s="23"/>
      <c r="V22" s="23"/>
      <c r="W22" s="23"/>
      <c r="X22" s="23"/>
      <c r="Y22" s="24">
        <f t="shared" si="0"/>
        <v>328600</v>
      </c>
      <c r="Z22" s="13"/>
      <c r="AA22" s="14" t="s">
        <v>23</v>
      </c>
      <c r="AB22" s="23"/>
      <c r="AC22" s="38">
        <f>109400+10000+18000</f>
        <v>137400</v>
      </c>
      <c r="AD22" s="24">
        <f t="shared" si="1"/>
        <v>466000</v>
      </c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2"/>
      <c r="AP22" s="22"/>
      <c r="AQ22" s="22"/>
      <c r="AR22" s="22"/>
      <c r="AS22" s="22">
        <f>1212683</f>
        <v>1212683</v>
      </c>
      <c r="AT22" s="22">
        <f t="shared" si="2"/>
        <v>1212683</v>
      </c>
    </row>
    <row r="23" spans="1:46" s="10" customFormat="1" ht="18.75" x14ac:dyDescent="0.3">
      <c r="A23" s="13"/>
      <c r="B23" s="14" t="s">
        <v>24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38">
        <f>10000+12000</f>
        <v>22000</v>
      </c>
      <c r="U23" s="23"/>
      <c r="V23" s="23"/>
      <c r="W23" s="23"/>
      <c r="X23" s="23"/>
      <c r="Y23" s="24">
        <f t="shared" si="0"/>
        <v>22000</v>
      </c>
      <c r="Z23" s="13"/>
      <c r="AA23" s="14" t="s">
        <v>24</v>
      </c>
      <c r="AB23" s="23"/>
      <c r="AC23" s="38">
        <f>134000</f>
        <v>134000</v>
      </c>
      <c r="AD23" s="24">
        <f t="shared" si="1"/>
        <v>156000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2"/>
      <c r="AP23" s="22"/>
      <c r="AQ23" s="22"/>
      <c r="AR23" s="22"/>
      <c r="AS23" s="22">
        <f>1327800+725420+250000+142079</f>
        <v>2445299</v>
      </c>
      <c r="AT23" s="22">
        <f t="shared" si="2"/>
        <v>2445299</v>
      </c>
    </row>
    <row r="24" spans="1:46" s="10" customFormat="1" ht="18.75" x14ac:dyDescent="0.3">
      <c r="A24" s="13"/>
      <c r="B24" s="14" t="s">
        <v>25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4">
        <f t="shared" si="0"/>
        <v>0</v>
      </c>
      <c r="Z24" s="13"/>
      <c r="AA24" s="14" t="s">
        <v>25</v>
      </c>
      <c r="AB24" s="23"/>
      <c r="AC24" s="23"/>
      <c r="AD24" s="24">
        <f t="shared" si="1"/>
        <v>0</v>
      </c>
      <c r="AE24" s="25"/>
      <c r="AF24" s="25"/>
      <c r="AG24" s="25"/>
      <c r="AH24" s="25"/>
      <c r="AI24" s="25"/>
      <c r="AJ24" s="25"/>
      <c r="AK24" s="25">
        <f>79000-21000</f>
        <v>58000</v>
      </c>
      <c r="AL24" s="25">
        <v>21000</v>
      </c>
      <c r="AM24" s="25"/>
      <c r="AN24" s="25"/>
      <c r="AO24" s="22">
        <v>133000</v>
      </c>
      <c r="AP24" s="22"/>
      <c r="AQ24" s="22"/>
      <c r="AR24" s="22"/>
      <c r="AS24" s="22">
        <f>53500</f>
        <v>53500</v>
      </c>
      <c r="AT24" s="22">
        <f t="shared" si="2"/>
        <v>265500</v>
      </c>
    </row>
    <row r="25" spans="1:46" s="10" customFormat="1" ht="18.75" x14ac:dyDescent="0.3">
      <c r="A25" s="13"/>
      <c r="B25" s="14" t="s">
        <v>26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>
        <f t="shared" si="0"/>
        <v>0</v>
      </c>
      <c r="Z25" s="13"/>
      <c r="AA25" s="14" t="s">
        <v>26</v>
      </c>
      <c r="AB25" s="23"/>
      <c r="AC25" s="23"/>
      <c r="AD25" s="24">
        <f t="shared" si="1"/>
        <v>0</v>
      </c>
      <c r="AE25" s="25"/>
      <c r="AF25" s="25"/>
      <c r="AG25" s="25"/>
      <c r="AH25" s="25">
        <v>5346286</v>
      </c>
      <c r="AI25" s="25"/>
      <c r="AJ25" s="25"/>
      <c r="AK25" s="25"/>
      <c r="AL25" s="25"/>
      <c r="AM25" s="25"/>
      <c r="AN25" s="25"/>
      <c r="AO25" s="22">
        <f>165484+34036</f>
        <v>199520</v>
      </c>
      <c r="AP25" s="22"/>
      <c r="AQ25" s="22"/>
      <c r="AR25" s="22"/>
      <c r="AS25" s="22"/>
      <c r="AT25" s="22">
        <f t="shared" si="2"/>
        <v>5545806</v>
      </c>
    </row>
    <row r="26" spans="1:46" s="10" customFormat="1" ht="22.5" customHeight="1" x14ac:dyDescent="0.3">
      <c r="A26" s="13"/>
      <c r="B26" s="14" t="s">
        <v>27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38">
        <f>10000+10000</f>
        <v>20000</v>
      </c>
      <c r="U26" s="23"/>
      <c r="V26" s="23"/>
      <c r="W26" s="23"/>
      <c r="X26" s="23"/>
      <c r="Y26" s="24">
        <f t="shared" si="0"/>
        <v>20000</v>
      </c>
      <c r="Z26" s="13"/>
      <c r="AA26" s="14" t="s">
        <v>27</v>
      </c>
      <c r="AB26" s="23"/>
      <c r="AC26" s="38">
        <f>170000</f>
        <v>170000</v>
      </c>
      <c r="AD26" s="24">
        <f t="shared" si="1"/>
        <v>190000</v>
      </c>
      <c r="AE26" s="25"/>
      <c r="AF26" s="25"/>
      <c r="AG26" s="25"/>
      <c r="AH26" s="25">
        <v>5109259</v>
      </c>
      <c r="AI26" s="25">
        <v>2102332</v>
      </c>
      <c r="AJ26" s="25"/>
      <c r="AK26" s="25"/>
      <c r="AL26" s="25"/>
      <c r="AM26" s="25"/>
      <c r="AN26" s="25"/>
      <c r="AO26" s="22">
        <v>100000</v>
      </c>
      <c r="AP26" s="22"/>
      <c r="AQ26" s="22">
        <v>281300</v>
      </c>
      <c r="AR26" s="22">
        <v>884681.07</v>
      </c>
      <c r="AS26" s="22">
        <f>1260900+401111+1289724+1000000+230490+260025+196000</f>
        <v>4638250</v>
      </c>
      <c r="AT26" s="22">
        <f t="shared" si="2"/>
        <v>13115822.07</v>
      </c>
    </row>
    <row r="27" spans="1:46" s="10" customFormat="1" ht="44.25" customHeight="1" x14ac:dyDescent="0.3">
      <c r="A27" s="13"/>
      <c r="B27" s="15" t="s">
        <v>28</v>
      </c>
      <c r="C27" s="22"/>
      <c r="D27" s="23"/>
      <c r="E27" s="23"/>
      <c r="F27" s="23"/>
      <c r="G27" s="23"/>
      <c r="H27" s="23"/>
      <c r="I27" s="23"/>
      <c r="J27" s="23">
        <v>7049500</v>
      </c>
      <c r="K27" s="23"/>
      <c r="L27" s="23"/>
      <c r="M27" s="23"/>
      <c r="N27" s="23">
        <f>1300000+200000</f>
        <v>1500000</v>
      </c>
      <c r="O27" s="23"/>
      <c r="P27" s="23"/>
      <c r="Q27" s="23"/>
      <c r="R27" s="23"/>
      <c r="S27" s="23"/>
      <c r="T27" s="38">
        <f>1086000+9000</f>
        <v>1095000</v>
      </c>
      <c r="U27" s="23"/>
      <c r="V27" s="23"/>
      <c r="W27" s="23"/>
      <c r="X27" s="23"/>
      <c r="Y27" s="24">
        <f t="shared" si="0"/>
        <v>9644500</v>
      </c>
      <c r="Z27" s="13"/>
      <c r="AA27" s="15" t="s">
        <v>28</v>
      </c>
      <c r="AB27" s="23"/>
      <c r="AC27" s="23"/>
      <c r="AD27" s="24">
        <f t="shared" si="1"/>
        <v>9644500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2"/>
      <c r="AP27" s="22"/>
      <c r="AQ27" s="22"/>
      <c r="AR27" s="22"/>
      <c r="AS27" s="22"/>
      <c r="AT27" s="22">
        <f t="shared" si="2"/>
        <v>0</v>
      </c>
    </row>
    <row r="28" spans="1:46" s="10" customFormat="1" ht="38.25" customHeight="1" x14ac:dyDescent="0.3">
      <c r="A28" s="13"/>
      <c r="B28" s="15" t="s">
        <v>29</v>
      </c>
      <c r="C28" s="22"/>
      <c r="D28" s="23"/>
      <c r="E28" s="23"/>
      <c r="F28" s="23"/>
      <c r="G28" s="23"/>
      <c r="H28" s="23"/>
      <c r="I28" s="23"/>
      <c r="J28" s="23">
        <v>12364200</v>
      </c>
      <c r="K28" s="23"/>
      <c r="L28" s="23"/>
      <c r="M28" s="23"/>
      <c r="N28" s="23">
        <f>5000000+199000+61315+600000</f>
        <v>5860315</v>
      </c>
      <c r="O28" s="23"/>
      <c r="P28" s="23"/>
      <c r="Q28" s="23"/>
      <c r="R28" s="23"/>
      <c r="S28" s="23"/>
      <c r="T28" s="23">
        <f>4826000-528000+308500+70000+292000</f>
        <v>4968500</v>
      </c>
      <c r="U28" s="23"/>
      <c r="V28" s="23"/>
      <c r="W28" s="23"/>
      <c r="X28" s="23"/>
      <c r="Y28" s="24">
        <f t="shared" si="0"/>
        <v>23193015</v>
      </c>
      <c r="Z28" s="13"/>
      <c r="AA28" s="15" t="s">
        <v>29</v>
      </c>
      <c r="AB28" s="23"/>
      <c r="AC28" s="23">
        <f>12600+16200</f>
        <v>28800</v>
      </c>
      <c r="AD28" s="24">
        <f>SUM(Y28:AC28)</f>
        <v>23221815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2"/>
      <c r="AP28" s="22"/>
      <c r="AQ28" s="22"/>
      <c r="AR28" s="22"/>
      <c r="AS28" s="22"/>
      <c r="AT28" s="22">
        <f t="shared" si="2"/>
        <v>0</v>
      </c>
    </row>
    <row r="29" spans="1:46" s="10" customFormat="1" ht="18.75" x14ac:dyDescent="0.3">
      <c r="A29" s="13"/>
      <c r="B29" s="14" t="s">
        <v>30</v>
      </c>
      <c r="C29" s="22"/>
      <c r="D29" s="23"/>
      <c r="E29" s="23"/>
      <c r="F29" s="23"/>
      <c r="G29" s="23"/>
      <c r="H29" s="23"/>
      <c r="I29" s="23"/>
      <c r="J29" s="23">
        <f>74479700+100</f>
        <v>74479800</v>
      </c>
      <c r="K29" s="23"/>
      <c r="L29" s="23"/>
      <c r="M29" s="23"/>
      <c r="N29" s="23">
        <f>50000000+3000000+900000+100000+960000+432000</f>
        <v>55392000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>
        <f t="shared" si="0"/>
        <v>129871800</v>
      </c>
      <c r="Z29" s="13"/>
      <c r="AA29" s="14" t="s">
        <v>30</v>
      </c>
      <c r="AB29" s="23">
        <f>10363200+1800000+769000+914383+840000</f>
        <v>14686583</v>
      </c>
      <c r="AC29" s="23"/>
      <c r="AD29" s="24">
        <f t="shared" si="1"/>
        <v>144558383</v>
      </c>
      <c r="AE29" s="25"/>
      <c r="AF29" s="25"/>
      <c r="AG29" s="25">
        <v>320400</v>
      </c>
      <c r="AH29" s="25"/>
      <c r="AI29" s="25"/>
      <c r="AJ29" s="25"/>
      <c r="AK29" s="25"/>
      <c r="AL29" s="25"/>
      <c r="AM29" s="25"/>
      <c r="AN29" s="25"/>
      <c r="AO29" s="22">
        <v>321076</v>
      </c>
      <c r="AP29" s="22"/>
      <c r="AQ29" s="22"/>
      <c r="AR29" s="22"/>
      <c r="AS29" s="22"/>
      <c r="AT29" s="22">
        <f t="shared" si="2"/>
        <v>641476</v>
      </c>
    </row>
    <row r="30" spans="1:46" s="10" customFormat="1" ht="18.75" x14ac:dyDescent="0.3">
      <c r="A30" s="13"/>
      <c r="B30" s="14" t="s">
        <v>31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>
        <v>5548026</v>
      </c>
      <c r="Q30" s="23"/>
      <c r="R30" s="23"/>
      <c r="S30" s="23"/>
      <c r="T30" s="23"/>
      <c r="U30" s="23"/>
      <c r="V30" s="23"/>
      <c r="W30" s="23"/>
      <c r="X30" s="23"/>
      <c r="Y30" s="24">
        <f t="shared" si="0"/>
        <v>5548026</v>
      </c>
      <c r="Z30" s="13"/>
      <c r="AA30" s="14" t="s">
        <v>31</v>
      </c>
      <c r="AB30" s="23"/>
      <c r="AC30" s="23"/>
      <c r="AD30" s="24">
        <f t="shared" si="1"/>
        <v>5548026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>
        <v>12131400</v>
      </c>
      <c r="AO30" s="22"/>
      <c r="AP30" s="22"/>
      <c r="AQ30" s="22"/>
      <c r="AR30" s="22"/>
      <c r="AS30" s="22"/>
      <c r="AT30" s="22">
        <f t="shared" si="2"/>
        <v>12131400</v>
      </c>
    </row>
    <row r="31" spans="1:46" s="10" customFormat="1" ht="18.75" x14ac:dyDescent="0.3">
      <c r="A31" s="13"/>
      <c r="B31" s="14" t="s">
        <v>32</v>
      </c>
      <c r="C31" s="22">
        <v>11589173</v>
      </c>
      <c r="D31" s="23">
        <f>90684000-10000000-5000000-1300000-7041950</f>
        <v>67342050</v>
      </c>
      <c r="E31" s="23">
        <v>934000</v>
      </c>
      <c r="F31" s="23">
        <f>90438000-6000000+1300000</f>
        <v>85738000</v>
      </c>
      <c r="G31" s="23">
        <f>3575500-100000-240000-20000</f>
        <v>3215500</v>
      </c>
      <c r="H31" s="23">
        <f>540845+137485</f>
        <v>678330</v>
      </c>
      <c r="I31" s="23">
        <v>1183376</v>
      </c>
      <c r="J31" s="23">
        <v>3898600</v>
      </c>
      <c r="K31" s="23">
        <f>4078200-3058650+357447+251400</f>
        <v>1628397</v>
      </c>
      <c r="L31" s="23">
        <v>550000</v>
      </c>
      <c r="M31" s="23">
        <v>914100</v>
      </c>
      <c r="N31" s="23"/>
      <c r="O31" s="23">
        <f>1509000+550000-550000</f>
        <v>1509000</v>
      </c>
      <c r="P31" s="23"/>
      <c r="Q31" s="23">
        <v>664860</v>
      </c>
      <c r="R31" s="23">
        <f>366854+1100562</f>
        <v>1467416</v>
      </c>
      <c r="S31" s="23">
        <f>1019736+858202</f>
        <v>1877938</v>
      </c>
      <c r="T31" s="23"/>
      <c r="U31" s="23">
        <f>1218439</f>
        <v>1218439</v>
      </c>
      <c r="V31" s="23">
        <v>150123</v>
      </c>
      <c r="W31" s="23">
        <v>435200</v>
      </c>
      <c r="X31" s="23">
        <v>1877682.36</v>
      </c>
      <c r="Y31" s="24">
        <f>SUM(C31:X31)</f>
        <v>186872184.36000001</v>
      </c>
      <c r="Z31" s="13"/>
      <c r="AA31" s="14" t="s">
        <v>32</v>
      </c>
      <c r="AB31" s="23"/>
      <c r="AC31" s="23"/>
      <c r="AD31" s="24">
        <f>SUM(Y31:AC31)</f>
        <v>186872184.36000001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2"/>
      <c r="AP31" s="25">
        <f>638544+840000</f>
        <v>1478544</v>
      </c>
      <c r="AQ31" s="25"/>
      <c r="AR31" s="25"/>
      <c r="AS31" s="22"/>
      <c r="AT31" s="22">
        <f t="shared" si="2"/>
        <v>1478544</v>
      </c>
    </row>
    <row r="32" spans="1:46" s="10" customFormat="1" ht="18.75" x14ac:dyDescent="0.3">
      <c r="A32" s="13"/>
      <c r="B32" s="14" t="s">
        <v>59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4"/>
      <c r="Z32" s="13"/>
      <c r="AA32" s="14" t="s">
        <v>59</v>
      </c>
      <c r="AB32" s="23"/>
      <c r="AC32" s="23"/>
      <c r="AD32" s="24"/>
      <c r="AE32" s="25"/>
      <c r="AF32" s="25">
        <f>1200000+500000+500000+330700+850000+198806+436460+500000</f>
        <v>4515966</v>
      </c>
      <c r="AG32" s="25"/>
      <c r="AH32" s="25"/>
      <c r="AI32" s="25"/>
      <c r="AJ32" s="25"/>
      <c r="AK32" s="25"/>
      <c r="AL32" s="25"/>
      <c r="AM32" s="25"/>
      <c r="AN32" s="25"/>
      <c r="AO32" s="22"/>
      <c r="AP32" s="22"/>
      <c r="AQ32" s="22"/>
      <c r="AR32" s="22"/>
      <c r="AS32" s="22"/>
      <c r="AT32" s="22">
        <f t="shared" si="2"/>
        <v>4515966</v>
      </c>
    </row>
    <row r="33" spans="1:46" s="10" customFormat="1" ht="18.75" x14ac:dyDescent="0.3">
      <c r="A33" s="16" t="s">
        <v>8</v>
      </c>
      <c r="B33" s="17" t="s">
        <v>9</v>
      </c>
      <c r="C33" s="37">
        <f>SUM(C10:C32)</f>
        <v>11589173</v>
      </c>
      <c r="D33" s="37">
        <f t="shared" ref="D33:AD33" si="3">SUM(D10:D32)</f>
        <v>67342050</v>
      </c>
      <c r="E33" s="37">
        <f t="shared" si="3"/>
        <v>934000</v>
      </c>
      <c r="F33" s="37">
        <f t="shared" si="3"/>
        <v>85738000</v>
      </c>
      <c r="G33" s="37">
        <f t="shared" si="3"/>
        <v>3215500</v>
      </c>
      <c r="H33" s="37">
        <f t="shared" si="3"/>
        <v>678330</v>
      </c>
      <c r="I33" s="37">
        <f t="shared" si="3"/>
        <v>1183376</v>
      </c>
      <c r="J33" s="37">
        <f t="shared" si="3"/>
        <v>97792100</v>
      </c>
      <c r="K33" s="37">
        <f t="shared" si="3"/>
        <v>1628397</v>
      </c>
      <c r="L33" s="37">
        <f t="shared" si="3"/>
        <v>550000</v>
      </c>
      <c r="M33" s="37">
        <f t="shared" si="3"/>
        <v>914100</v>
      </c>
      <c r="N33" s="37">
        <f t="shared" si="3"/>
        <v>62752315</v>
      </c>
      <c r="O33" s="37">
        <f t="shared" si="3"/>
        <v>1509000</v>
      </c>
      <c r="P33" s="37">
        <f t="shared" si="3"/>
        <v>5548026</v>
      </c>
      <c r="Q33" s="37">
        <f t="shared" si="3"/>
        <v>664860</v>
      </c>
      <c r="R33" s="37">
        <f t="shared" si="3"/>
        <v>1467416</v>
      </c>
      <c r="S33" s="37">
        <f t="shared" si="3"/>
        <v>1877938</v>
      </c>
      <c r="T33" s="37">
        <f t="shared" si="3"/>
        <v>7700222</v>
      </c>
      <c r="U33" s="37">
        <f t="shared" si="3"/>
        <v>1218439</v>
      </c>
      <c r="V33" s="37">
        <f t="shared" si="3"/>
        <v>150123</v>
      </c>
      <c r="W33" s="37">
        <f>SUM(W10:W32)</f>
        <v>435200</v>
      </c>
      <c r="X33" s="37">
        <f>SUM(X10:X32)</f>
        <v>1877682.36</v>
      </c>
      <c r="Y33" s="24">
        <f>SUM(C33:X33)</f>
        <v>356766247.36000001</v>
      </c>
      <c r="Z33" s="16" t="s">
        <v>8</v>
      </c>
      <c r="AA33" s="17" t="s">
        <v>9</v>
      </c>
      <c r="AB33" s="37">
        <f t="shared" si="3"/>
        <v>14686583</v>
      </c>
      <c r="AC33" s="37">
        <f t="shared" si="3"/>
        <v>6309435</v>
      </c>
      <c r="AD33" s="26">
        <f t="shared" si="3"/>
        <v>377762265.36000001</v>
      </c>
      <c r="AE33" s="37">
        <f>SUM(AE10:AE32)</f>
        <v>870000</v>
      </c>
      <c r="AF33" s="37">
        <f t="shared" ref="AF33:AS33" si="4">SUM(AF10:AF32)</f>
        <v>4515966</v>
      </c>
      <c r="AG33" s="37">
        <f t="shared" si="4"/>
        <v>320400</v>
      </c>
      <c r="AH33" s="26">
        <f t="shared" si="4"/>
        <v>42032875</v>
      </c>
      <c r="AI33" s="26">
        <f t="shared" si="4"/>
        <v>2102332</v>
      </c>
      <c r="AJ33" s="37">
        <f t="shared" si="4"/>
        <v>81370</v>
      </c>
      <c r="AK33" s="37">
        <f t="shared" si="4"/>
        <v>694000</v>
      </c>
      <c r="AL33" s="37">
        <f t="shared" si="4"/>
        <v>250000</v>
      </c>
      <c r="AM33" s="37">
        <f t="shared" si="4"/>
        <v>5548026</v>
      </c>
      <c r="AN33" s="37">
        <f t="shared" si="4"/>
        <v>12131400</v>
      </c>
      <c r="AO33" s="26">
        <f t="shared" si="4"/>
        <v>861114</v>
      </c>
      <c r="AP33" s="37">
        <f t="shared" si="4"/>
        <v>1478544</v>
      </c>
      <c r="AQ33" s="37">
        <f t="shared" si="4"/>
        <v>434500</v>
      </c>
      <c r="AR33" s="37">
        <f>SUM(AR10:AR32)</f>
        <v>1877682.3599999999</v>
      </c>
      <c r="AS33" s="37">
        <f t="shared" si="4"/>
        <v>15573072.439999999</v>
      </c>
      <c r="AT33" s="26">
        <f>SUM(AT10:AT32)</f>
        <v>88771281.800000012</v>
      </c>
    </row>
    <row r="34" spans="1:46" x14ac:dyDescent="0.2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A34" s="3"/>
      <c r="AB34" s="4"/>
      <c r="AC34" s="4"/>
      <c r="AD34" s="4"/>
      <c r="AE34" s="4"/>
      <c r="AF34" s="4"/>
    </row>
    <row r="36" spans="1:46" s="5" customFormat="1" ht="24.75" customHeight="1" x14ac:dyDescent="0.25">
      <c r="A36" s="43" t="s">
        <v>10</v>
      </c>
      <c r="B36" s="43"/>
      <c r="C36" s="43"/>
      <c r="D36" s="43"/>
      <c r="E36" s="43"/>
      <c r="F36" s="43"/>
      <c r="G36" s="43"/>
      <c r="H36" s="43"/>
      <c r="I36" s="4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46" s="5" customFormat="1" ht="24.75" customHeight="1" x14ac:dyDescent="0.25">
      <c r="A37" s="43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7"/>
      <c r="AA37" s="7"/>
      <c r="AB37" s="7"/>
      <c r="AC37" s="7"/>
      <c r="AD37" s="7"/>
      <c r="AE37" s="7"/>
      <c r="AF37" s="7"/>
    </row>
    <row r="38" spans="1:46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AB38" s="6"/>
      <c r="AC38" s="6"/>
      <c r="AD38" s="6"/>
      <c r="AE38" s="6"/>
      <c r="AF38" s="6"/>
    </row>
    <row r="39" spans="1:46" x14ac:dyDescent="0.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AB39" s="6"/>
      <c r="AC39" s="6"/>
      <c r="AD39" s="6"/>
      <c r="AE39" s="6"/>
      <c r="AF39" s="6"/>
    </row>
    <row r="40" spans="1:46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AB40" s="6"/>
      <c r="AC40" s="6"/>
      <c r="AD40" s="6"/>
      <c r="AE40" s="6"/>
      <c r="AF40" s="6"/>
    </row>
    <row r="41" spans="1:46" s="8" customFormat="1" ht="20.25" x14ac:dyDescent="0.3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B41" s="9"/>
      <c r="AC41" s="9"/>
      <c r="AD41" s="9"/>
      <c r="AE41" s="9" t="s">
        <v>64</v>
      </c>
      <c r="AF41" s="9"/>
      <c r="AS41" s="9" t="s">
        <v>75</v>
      </c>
    </row>
    <row r="42" spans="1:46" x14ac:dyDescent="0.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AB42" s="6"/>
      <c r="AC42" s="6"/>
      <c r="AD42" s="6"/>
      <c r="AE42" s="6"/>
      <c r="AF42" s="6"/>
    </row>
    <row r="43" spans="1:46" x14ac:dyDescent="0.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AB43" s="6"/>
      <c r="AC43" s="6"/>
      <c r="AD43" s="6"/>
      <c r="AE43" s="6"/>
      <c r="AF43" s="6"/>
    </row>
    <row r="44" spans="1:46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AB44" s="6"/>
      <c r="AC44" s="6"/>
      <c r="AD44" s="6"/>
      <c r="AE44" s="6"/>
      <c r="AF44" s="6"/>
    </row>
    <row r="45" spans="1:46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AB45" s="6"/>
      <c r="AC45" s="6"/>
      <c r="AD45" s="6"/>
      <c r="AE45" s="6"/>
      <c r="AF45" s="6"/>
    </row>
    <row r="46" spans="1:46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AB46" s="6"/>
      <c r="AC46" s="6"/>
      <c r="AD46" s="6"/>
      <c r="AE46" s="6"/>
      <c r="AF46" s="6"/>
    </row>
    <row r="47" spans="1:46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AB47" s="6"/>
      <c r="AC47" s="6"/>
      <c r="AD47" s="6"/>
      <c r="AE47" s="6"/>
      <c r="AF47" s="6"/>
    </row>
    <row r="48" spans="1:46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AB48" s="6"/>
      <c r="AC48" s="6"/>
      <c r="AD48" s="6"/>
      <c r="AE48" s="6"/>
      <c r="AF48" s="6"/>
    </row>
    <row r="49" spans="3:32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AB49" s="6"/>
      <c r="AC49" s="6"/>
      <c r="AD49" s="6"/>
      <c r="AE49" s="6"/>
      <c r="AF49" s="6"/>
    </row>
    <row r="50" spans="3:32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AB50" s="6"/>
      <c r="AC50" s="6"/>
      <c r="AD50" s="6"/>
      <c r="AE50" s="6"/>
      <c r="AF50" s="6"/>
    </row>
    <row r="51" spans="3:32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AB51" s="6"/>
      <c r="AC51" s="6"/>
      <c r="AD51" s="6"/>
      <c r="AE51" s="6"/>
      <c r="AF51" s="6"/>
    </row>
    <row r="52" spans="3:32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AB52" s="6"/>
      <c r="AC52" s="6"/>
      <c r="AD52" s="6"/>
      <c r="AE52" s="6"/>
      <c r="AF52" s="6"/>
    </row>
    <row r="53" spans="3:32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AB53" s="6"/>
      <c r="AC53" s="6"/>
      <c r="AD53" s="6"/>
      <c r="AE53" s="6"/>
      <c r="AF53" s="6"/>
    </row>
    <row r="54" spans="3:32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AB54" s="6"/>
      <c r="AC54" s="6"/>
      <c r="AD54" s="6"/>
      <c r="AE54" s="6"/>
      <c r="AF54" s="6"/>
    </row>
    <row r="55" spans="3:32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AB55" s="6"/>
      <c r="AC55" s="6"/>
      <c r="AD55" s="6"/>
      <c r="AE55" s="6"/>
      <c r="AF55" s="6"/>
    </row>
    <row r="56" spans="3:32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AB56" s="6"/>
      <c r="AC56" s="6"/>
      <c r="AD56" s="6"/>
      <c r="AE56" s="6"/>
      <c r="AF56" s="6"/>
    </row>
    <row r="57" spans="3:32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AB57" s="6"/>
      <c r="AC57" s="6"/>
      <c r="AD57" s="6"/>
      <c r="AE57" s="6"/>
      <c r="AF57" s="6"/>
    </row>
    <row r="58" spans="3:32" x14ac:dyDescent="0.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AB58" s="6"/>
      <c r="AC58" s="6"/>
      <c r="AD58" s="6"/>
      <c r="AE58" s="6"/>
      <c r="AF58" s="6"/>
    </row>
    <row r="59" spans="3:32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AB59" s="6"/>
      <c r="AC59" s="6"/>
      <c r="AD59" s="6"/>
      <c r="AE59" s="6"/>
      <c r="AF59" s="6"/>
    </row>
    <row r="60" spans="3:32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AB60" s="6"/>
      <c r="AC60" s="6"/>
      <c r="AD60" s="6"/>
      <c r="AE60" s="6"/>
      <c r="AF60" s="6"/>
    </row>
    <row r="61" spans="3:32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AB61" s="6"/>
      <c r="AC61" s="6"/>
      <c r="AD61" s="6"/>
      <c r="AE61" s="6"/>
      <c r="AF61" s="6"/>
    </row>
    <row r="62" spans="3:32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AB62" s="6"/>
      <c r="AC62" s="6"/>
      <c r="AD62" s="6"/>
      <c r="AE62" s="6"/>
      <c r="AF62" s="6"/>
    </row>
    <row r="63" spans="3:32" x14ac:dyDescent="0.2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AB63" s="6"/>
      <c r="AC63" s="6"/>
      <c r="AD63" s="6"/>
      <c r="AE63" s="6"/>
      <c r="AF63" s="6"/>
    </row>
    <row r="64" spans="3:32" x14ac:dyDescent="0.2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AB64" s="6"/>
      <c r="AC64" s="6"/>
      <c r="AD64" s="6"/>
      <c r="AE64" s="6"/>
      <c r="AF64" s="6"/>
    </row>
    <row r="65" spans="3:32" x14ac:dyDescent="0.2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AB65" s="6"/>
      <c r="AC65" s="6"/>
      <c r="AD65" s="6"/>
      <c r="AE65" s="6"/>
      <c r="AF65" s="6"/>
    </row>
    <row r="66" spans="3:32" x14ac:dyDescent="0.2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AB66" s="6"/>
      <c r="AC66" s="6"/>
      <c r="AD66" s="6"/>
      <c r="AE66" s="6"/>
      <c r="AF66" s="6"/>
    </row>
    <row r="67" spans="3:32" x14ac:dyDescent="0.2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AB67" s="6"/>
      <c r="AC67" s="6"/>
      <c r="AD67" s="6"/>
      <c r="AE67" s="6"/>
      <c r="AF67" s="6"/>
    </row>
    <row r="68" spans="3:32" x14ac:dyDescent="0.2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AB68" s="6"/>
      <c r="AC68" s="6"/>
      <c r="AD68" s="6"/>
      <c r="AE68" s="6"/>
      <c r="AF68" s="6"/>
    </row>
    <row r="69" spans="3:32" x14ac:dyDescent="0.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AB69" s="6"/>
      <c r="AC69" s="6"/>
      <c r="AD69" s="6"/>
      <c r="AE69" s="6"/>
      <c r="AF69" s="6"/>
    </row>
    <row r="70" spans="3:32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AB70" s="6"/>
      <c r="AC70" s="6"/>
      <c r="AD70" s="6"/>
      <c r="AE70" s="6"/>
      <c r="AF70" s="6"/>
    </row>
    <row r="71" spans="3:32" x14ac:dyDescent="0.2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AB71" s="6"/>
      <c r="AC71" s="6"/>
      <c r="AD71" s="6"/>
      <c r="AE71" s="6"/>
      <c r="AF71" s="6"/>
    </row>
    <row r="72" spans="3:32" x14ac:dyDescent="0.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AB72" s="6"/>
      <c r="AC72" s="6"/>
      <c r="AD72" s="6"/>
      <c r="AE72" s="6"/>
      <c r="AF72" s="6"/>
    </row>
    <row r="73" spans="3:32" x14ac:dyDescent="0.2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AB73" s="6"/>
      <c r="AC73" s="6"/>
      <c r="AD73" s="6"/>
      <c r="AE73" s="6"/>
      <c r="AF73" s="6"/>
    </row>
    <row r="74" spans="3:32" x14ac:dyDescent="0.2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AB74" s="6"/>
      <c r="AC74" s="6"/>
      <c r="AD74" s="6"/>
      <c r="AE74" s="6"/>
      <c r="AF74" s="6"/>
    </row>
    <row r="75" spans="3:32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AB75" s="6"/>
      <c r="AC75" s="6"/>
      <c r="AD75" s="6"/>
      <c r="AE75" s="6"/>
      <c r="AF75" s="6"/>
    </row>
    <row r="76" spans="3:32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AB76" s="6"/>
      <c r="AC76" s="6"/>
      <c r="AD76" s="6"/>
      <c r="AE76" s="6"/>
      <c r="AF76" s="6"/>
    </row>
    <row r="77" spans="3:32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AB77" s="6"/>
      <c r="AC77" s="6"/>
      <c r="AD77" s="6"/>
      <c r="AE77" s="6"/>
      <c r="AF77" s="6"/>
    </row>
    <row r="78" spans="3:32" x14ac:dyDescent="0.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AB78" s="6"/>
      <c r="AC78" s="6"/>
      <c r="AD78" s="6"/>
      <c r="AE78" s="6"/>
      <c r="AF78" s="6"/>
    </row>
    <row r="79" spans="3:32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AB79" s="6"/>
      <c r="AC79" s="6"/>
      <c r="AD79" s="6"/>
      <c r="AE79" s="6"/>
      <c r="AF79" s="6"/>
    </row>
    <row r="80" spans="3:32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AB80" s="6"/>
      <c r="AC80" s="6"/>
      <c r="AD80" s="6"/>
      <c r="AE80" s="6"/>
      <c r="AF80" s="6"/>
    </row>
    <row r="81" spans="3:32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AB81" s="6"/>
      <c r="AC81" s="6"/>
      <c r="AD81" s="6"/>
      <c r="AE81" s="6"/>
      <c r="AF81" s="6"/>
    </row>
    <row r="82" spans="3:32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AB82" s="6"/>
      <c r="AC82" s="6"/>
      <c r="AD82" s="6"/>
      <c r="AE82" s="6"/>
      <c r="AF82" s="6"/>
    </row>
    <row r="83" spans="3:32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AB83" s="6"/>
      <c r="AC83" s="6"/>
      <c r="AD83" s="6"/>
      <c r="AE83" s="6"/>
      <c r="AF83" s="6"/>
    </row>
    <row r="84" spans="3:32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AB84" s="6"/>
      <c r="AC84" s="6"/>
      <c r="AD84" s="6"/>
      <c r="AE84" s="6"/>
      <c r="AF84" s="6"/>
    </row>
    <row r="85" spans="3:32" x14ac:dyDescent="0.2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AB85" s="6"/>
      <c r="AC85" s="6"/>
      <c r="AD85" s="6"/>
      <c r="AE85" s="6"/>
      <c r="AF85" s="6"/>
    </row>
    <row r="86" spans="3:32" x14ac:dyDescent="0.2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AB86" s="6"/>
      <c r="AC86" s="6"/>
      <c r="AD86" s="6"/>
      <c r="AE86" s="6"/>
      <c r="AF86" s="6"/>
    </row>
  </sheetData>
  <mergeCells count="25">
    <mergeCell ref="A37:Y37"/>
    <mergeCell ref="A1:U1"/>
    <mergeCell ref="B4:B8"/>
    <mergeCell ref="A4:A8"/>
    <mergeCell ref="D5:Y5"/>
    <mergeCell ref="C4:Y4"/>
    <mergeCell ref="D6:Y6"/>
    <mergeCell ref="C7:Y7"/>
    <mergeCell ref="W1:Y1"/>
    <mergeCell ref="AE7:AS7"/>
    <mergeCell ref="AE5:AE6"/>
    <mergeCell ref="AB6:AC6"/>
    <mergeCell ref="AD5:AD8"/>
    <mergeCell ref="AB5:AC5"/>
    <mergeCell ref="AB7:AC7"/>
    <mergeCell ref="AO1:AT2"/>
    <mergeCell ref="AF6:AO6"/>
    <mergeCell ref="AF5:AS5"/>
    <mergeCell ref="A36:I36"/>
    <mergeCell ref="AE4:AT4"/>
    <mergeCell ref="AT5:AT8"/>
    <mergeCell ref="AP6:AS6"/>
    <mergeCell ref="Z4:Z8"/>
    <mergeCell ref="AA4:AA8"/>
    <mergeCell ref="AB4:AD4"/>
  </mergeCells>
  <phoneticPr fontId="8" type="noConversion"/>
  <printOptions horizontalCentered="1"/>
  <pageMargins left="0" right="0" top="0.7" bottom="0.19685039370078741" header="0" footer="0"/>
  <pageSetup paperSize="9" scale="27" fitToWidth="2" fitToHeight="2" orientation="landscape" r:id="rId1"/>
  <headerFooter alignWithMargins="0"/>
  <colBreaks count="1" manualBreakCount="1">
    <brk id="2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Геннадій Миколайович</dc:creator>
  <cp:lastModifiedBy>pliok</cp:lastModifiedBy>
  <cp:lastPrinted>2019-12-17T11:52:24Z</cp:lastPrinted>
  <dcterms:created xsi:type="dcterms:W3CDTF">2018-12-06T13:55:43Z</dcterms:created>
  <dcterms:modified xsi:type="dcterms:W3CDTF">2019-12-27T11:23:35Z</dcterms:modified>
</cp:coreProperties>
</file>